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izabeth\Downloads\"/>
    </mc:Choice>
  </mc:AlternateContent>
  <bookViews>
    <workbookView xWindow="0" yWindow="0" windowWidth="16815" windowHeight="5850" tabRatio="867" activeTab="3"/>
  </bookViews>
  <sheets>
    <sheet name="IS" sheetId="1" r:id="rId1"/>
    <sheet name="BS" sheetId="4" r:id="rId2"/>
    <sheet name="CFS" sheetId="7" r:id="rId3"/>
    <sheet name="Ratios" sheetId="8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8" l="1"/>
  <c r="C38" i="8" s="1"/>
  <c r="B39" i="8"/>
  <c r="B38" i="8"/>
  <c r="B33" i="8"/>
  <c r="B32" i="8"/>
  <c r="C32" i="8"/>
  <c r="C12" i="8"/>
  <c r="B12" i="8"/>
  <c r="C11" i="8"/>
  <c r="B11" i="8"/>
  <c r="C10" i="8"/>
  <c r="B10" i="8"/>
  <c r="B9" i="8"/>
  <c r="C9" i="8"/>
  <c r="C8" i="8"/>
  <c r="B8" i="8"/>
  <c r="C6" i="8"/>
  <c r="B6" i="8"/>
  <c r="C5" i="8"/>
  <c r="B5" i="8"/>
  <c r="D30" i="8"/>
  <c r="C30" i="8"/>
  <c r="B30" i="8"/>
  <c r="C28" i="8"/>
  <c r="C27" i="8"/>
  <c r="B28" i="8"/>
  <c r="B27" i="8"/>
  <c r="C26" i="8"/>
  <c r="B26" i="8"/>
  <c r="C25" i="8"/>
  <c r="B25" i="8"/>
  <c r="C24" i="8"/>
  <c r="B24" i="8"/>
  <c r="C23" i="8"/>
  <c r="B23" i="8"/>
  <c r="C20" i="8"/>
  <c r="B20" i="8"/>
  <c r="C21" i="8"/>
  <c r="B21" i="8"/>
  <c r="C18" i="8"/>
  <c r="B18" i="8"/>
  <c r="C17" i="8"/>
  <c r="B17" i="8"/>
  <c r="C16" i="8"/>
  <c r="B16" i="8"/>
  <c r="C15" i="8"/>
  <c r="B15" i="8"/>
  <c r="C14" i="8"/>
  <c r="B14" i="8"/>
  <c r="J3" i="8" l="1"/>
  <c r="H24" i="8"/>
  <c r="J5" i="8"/>
  <c r="I17" i="8"/>
  <c r="I27" i="8"/>
  <c r="H39" i="8"/>
  <c r="H32" i="8"/>
  <c r="J15" i="8"/>
  <c r="H16" i="8"/>
  <c r="H30" i="8"/>
  <c r="H9" i="8"/>
  <c r="H11" i="8"/>
  <c r="H14" i="8"/>
  <c r="H23" i="8"/>
  <c r="J11" i="8"/>
  <c r="I30" i="8"/>
  <c r="J10" i="8"/>
  <c r="H33" i="8"/>
  <c r="H10" i="8"/>
  <c r="J28" i="8"/>
  <c r="J12" i="8"/>
  <c r="J18" i="8"/>
  <c r="J9" i="8"/>
  <c r="J8" i="8"/>
  <c r="I10" i="8"/>
  <c r="H5" i="8"/>
  <c r="I18" i="8"/>
  <c r="I16" i="8"/>
  <c r="H27" i="8"/>
  <c r="H12" i="8"/>
  <c r="J27" i="8"/>
  <c r="J21" i="8"/>
  <c r="J20" i="8"/>
  <c r="H17" i="8"/>
  <c r="J23" i="8"/>
  <c r="H26" i="8"/>
  <c r="H18" i="8"/>
  <c r="H21" i="8"/>
  <c r="J14" i="8"/>
  <c r="G39" i="8"/>
  <c r="H8" i="8"/>
  <c r="J16" i="8"/>
  <c r="J26" i="8"/>
  <c r="H25" i="8"/>
  <c r="H6" i="8"/>
  <c r="J24" i="8"/>
  <c r="H31" i="8"/>
  <c r="J25" i="8"/>
  <c r="J6" i="8"/>
  <c r="H15" i="8"/>
  <c r="J17" i="8"/>
  <c r="H28" i="8"/>
  <c r="A3" i="1" l="1"/>
  <c r="H20" i="8"/>
  <c r="E20" i="7"/>
  <c r="E12" i="4"/>
  <c r="E11" i="7"/>
  <c r="D16" i="7"/>
  <c r="D10" i="7"/>
  <c r="D9" i="7"/>
  <c r="E8" i="4"/>
  <c r="D5" i="7"/>
  <c r="D19" i="7"/>
  <c r="E4" i="4"/>
  <c r="E7" i="1"/>
  <c r="E21" i="7"/>
  <c r="D7" i="7"/>
  <c r="D18" i="7"/>
  <c r="E11" i="1"/>
  <c r="E14" i="7"/>
  <c r="E3" i="1"/>
  <c r="D6" i="7"/>
  <c r="E23" i="4"/>
  <c r="E13" i="1"/>
  <c r="D13" i="7"/>
  <c r="D8" i="7"/>
  <c r="E11" i="4"/>
  <c r="E19" i="4"/>
  <c r="E15" i="1"/>
  <c r="E14" i="1"/>
  <c r="E17" i="4"/>
  <c r="D17" i="7"/>
  <c r="E3" i="4"/>
  <c r="E22" i="4"/>
  <c r="B10" i="4" l="1"/>
  <c r="B7" i="1"/>
  <c r="B11" i="1" s="1"/>
  <c r="B8" i="4"/>
  <c r="C8" i="4"/>
  <c r="C11" i="4"/>
  <c r="B17" i="4"/>
  <c r="C17" i="4"/>
  <c r="B22" i="4"/>
  <c r="C22" i="4"/>
  <c r="C7" i="1"/>
  <c r="C11" i="1" s="1"/>
  <c r="C4" i="1"/>
  <c r="B3" i="8"/>
  <c r="A1" i="8"/>
  <c r="B18" i="7"/>
  <c r="B4" i="4"/>
  <c r="B17" i="7"/>
  <c r="B16" i="7"/>
  <c r="B13" i="7"/>
  <c r="C14" i="7" s="1"/>
  <c r="B10" i="7"/>
  <c r="B9" i="7"/>
  <c r="B8" i="7"/>
  <c r="B7" i="7"/>
  <c r="B6" i="7"/>
  <c r="A1" i="7"/>
  <c r="A1" i="4"/>
  <c r="D18" i="8"/>
  <c r="D17" i="8"/>
  <c r="D10" i="8"/>
  <c r="D27" i="8"/>
  <c r="C3" i="8" l="1"/>
  <c r="G3" i="8"/>
  <c r="A3" i="4"/>
  <c r="A3" i="7"/>
  <c r="B19" i="4"/>
  <c r="C12" i="4"/>
  <c r="B11" i="4"/>
  <c r="E9" i="8"/>
  <c r="B13" i="1"/>
  <c r="D16" i="8"/>
  <c r="E10" i="8"/>
  <c r="D3" i="8"/>
  <c r="I3" i="8" s="1"/>
  <c r="E8" i="8"/>
  <c r="C4" i="4"/>
  <c r="C13" i="1"/>
  <c r="C19" i="4"/>
  <c r="A2" i="8" l="1"/>
  <c r="H3" i="8"/>
  <c r="B14" i="1"/>
  <c r="B23" i="4"/>
  <c r="E18" i="8"/>
  <c r="E6" i="8"/>
  <c r="E21" i="8"/>
  <c r="E23" i="8"/>
  <c r="E20" i="8"/>
  <c r="E24" i="8"/>
  <c r="B12" i="4"/>
  <c r="E11" i="8"/>
  <c r="E5" i="8"/>
  <c r="E16" i="8"/>
  <c r="C14" i="1"/>
  <c r="C15" i="1" s="1"/>
  <c r="B15" i="1"/>
  <c r="C23" i="4"/>
  <c r="C33" i="8"/>
  <c r="E17" i="8" l="1"/>
  <c r="E14" i="8"/>
  <c r="E12" i="8"/>
  <c r="E15" i="8"/>
  <c r="B5" i="7"/>
  <c r="C11" i="7" s="1"/>
  <c r="B19" i="7"/>
  <c r="E26" i="8" l="1"/>
  <c r="E28" i="8"/>
  <c r="E27" i="8"/>
  <c r="E25" i="8"/>
  <c r="C20" i="7"/>
  <c r="C21" i="7" s="1"/>
</calcChain>
</file>

<file path=xl/comments1.xml><?xml version="1.0" encoding="utf-8"?>
<comments xmlns="http://schemas.openxmlformats.org/spreadsheetml/2006/main">
  <authors>
    <author>Timothy R. Mayes, Ph.D</author>
  </authors>
  <commentList>
    <comment ref="A36" authorId="0" shapeId="0">
      <text>
        <r>
          <rPr>
            <sz val="8"/>
            <color indexed="81"/>
            <rFont val="Tahoma"/>
            <family val="2"/>
          </rPr>
          <t>This information is included to allow the calculation of Altman's Z-Score.</t>
        </r>
      </text>
    </comment>
  </commentList>
</comments>
</file>

<file path=xl/sharedStrings.xml><?xml version="1.0" encoding="utf-8"?>
<sst xmlns="http://schemas.openxmlformats.org/spreadsheetml/2006/main" count="108" uniqueCount="93">
  <si>
    <t>Elvis Products International</t>
  </si>
  <si>
    <t>Income Statement</t>
  </si>
  <si>
    <t>Sales</t>
  </si>
  <si>
    <t>Cost of Goods Sold</t>
  </si>
  <si>
    <t>Gross Profit</t>
  </si>
  <si>
    <t>Selling and G&amp;A Expenses</t>
  </si>
  <si>
    <t>Fixed Expenses</t>
  </si>
  <si>
    <t>Depreciation Expense</t>
  </si>
  <si>
    <t>EBIT</t>
  </si>
  <si>
    <t>Interest Expense</t>
  </si>
  <si>
    <t>Earnings Before Taxes</t>
  </si>
  <si>
    <t>Net Income</t>
  </si>
  <si>
    <t>Balance Sheet</t>
  </si>
  <si>
    <t>Assets</t>
  </si>
  <si>
    <t>Total Current Assets</t>
  </si>
  <si>
    <t>Net Fixed Assets</t>
  </si>
  <si>
    <t>Total Assets</t>
  </si>
  <si>
    <t>Liabilities and Owner's Equity</t>
  </si>
  <si>
    <t>Total Current Liabilities</t>
  </si>
  <si>
    <t>Total Liabilities</t>
  </si>
  <si>
    <t>Total Shareholder's Equity</t>
  </si>
  <si>
    <t>Total Liabilities and Owner's Equity</t>
  </si>
  <si>
    <t>Statement of Cash Flows</t>
  </si>
  <si>
    <t>Cash Flows from Operations</t>
  </si>
  <si>
    <t>Change in Accounts Receivable</t>
  </si>
  <si>
    <t>Change in Inventories</t>
  </si>
  <si>
    <t>Change in Accounts Payable</t>
  </si>
  <si>
    <t>Change in Short-term Notes Payable</t>
  </si>
  <si>
    <t>Change in Other Current Liabilities</t>
  </si>
  <si>
    <t>Total Cash Flows from Operations</t>
  </si>
  <si>
    <t>Cash Flows from Investing</t>
  </si>
  <si>
    <t>Change in Plant &amp; Equipment</t>
  </si>
  <si>
    <t>Total Cash Flows from Investing</t>
  </si>
  <si>
    <t>Cash Flows from Financing</t>
  </si>
  <si>
    <t>Change in Long-term Debt</t>
  </si>
  <si>
    <t>Cash Dividends Paid to Shareholders</t>
  </si>
  <si>
    <t>Total Cash Flows from Financing</t>
  </si>
  <si>
    <t>Net Change in Cash Balance</t>
  </si>
  <si>
    <t>Ratio</t>
  </si>
  <si>
    <t>Analysis</t>
  </si>
  <si>
    <t>Liquidity Ratios</t>
  </si>
  <si>
    <t>Efficiency Ratios</t>
  </si>
  <si>
    <t>Inventory Turnover</t>
  </si>
  <si>
    <t>A/R Turnover</t>
  </si>
  <si>
    <t>Average Collection Period</t>
  </si>
  <si>
    <t>Fixed Asset Turnover</t>
  </si>
  <si>
    <t>Total Asset Turnover</t>
  </si>
  <si>
    <t>Leverage Ratios</t>
  </si>
  <si>
    <t>Total Debt Ratio</t>
  </si>
  <si>
    <t>Long-term Debt Ratio</t>
  </si>
  <si>
    <t>LTD to Total Capitalization</t>
  </si>
  <si>
    <t>Debt to Equity</t>
  </si>
  <si>
    <t>LTD to Equity</t>
  </si>
  <si>
    <t>Coverage Ratios</t>
  </si>
  <si>
    <t>Times Interest Earned</t>
  </si>
  <si>
    <t>Cash Coverage Ratio</t>
  </si>
  <si>
    <t>Profitability Ratios</t>
  </si>
  <si>
    <t>Gross Profit Margin</t>
  </si>
  <si>
    <t>Operating Profit Margin</t>
  </si>
  <si>
    <t>Net Profit Margin</t>
  </si>
  <si>
    <t>Return on Total Assets</t>
  </si>
  <si>
    <t>Return on Equity</t>
  </si>
  <si>
    <t>Return on Common Equity</t>
  </si>
  <si>
    <t>Tax Rate</t>
  </si>
  <si>
    <t>Notes:</t>
  </si>
  <si>
    <t>Taxes</t>
  </si>
  <si>
    <t>Market Value of Equity</t>
  </si>
  <si>
    <t>Number of Shares</t>
  </si>
  <si>
    <t>Assumed P/E Ratio</t>
  </si>
  <si>
    <t>Stock Valuation Notes:</t>
  </si>
  <si>
    <t>Stock Price</t>
  </si>
  <si>
    <t>Z-Score - Publicly Traded</t>
  </si>
  <si>
    <t>Z-Score - Privately Held</t>
  </si>
  <si>
    <t>Change in Common Stock</t>
  </si>
  <si>
    <t>Current Ratio</t>
  </si>
  <si>
    <t>Quick Ratio</t>
  </si>
  <si>
    <t>DuPont ROE</t>
  </si>
  <si>
    <t>Inventory</t>
  </si>
  <si>
    <t>Cash and Equivalents</t>
  </si>
  <si>
    <t xml:space="preserve"> Accounts Receivable</t>
  </si>
  <si>
    <t>Plant &amp; Equipment</t>
  </si>
  <si>
    <t>Accumulated Depreciation</t>
  </si>
  <si>
    <t>Accounts Payable</t>
  </si>
  <si>
    <t>Short-term Notes Payable</t>
  </si>
  <si>
    <t>Other Current Liabilities</t>
  </si>
  <si>
    <t>Long-term Debt</t>
  </si>
  <si>
    <t>Retained Earnings</t>
  </si>
  <si>
    <t>Common Stock</t>
  </si>
  <si>
    <t>Step (1)</t>
  </si>
  <si>
    <t>Format A1:C3</t>
  </si>
  <si>
    <t>Step (2)</t>
  </si>
  <si>
    <t>Enter values highlighted in B5 to C12</t>
  </si>
  <si>
    <t>&lt;-----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</si>
</sst>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#,##0.00_);[Red]\(&quot;$&quot;#,##0.00\)"/>
    <numFmt numFmtId="164" formatCode="#,###.00,"/>
    <numFmt numFmtId="165" formatCode="#,#00.00,"/>
    <numFmt numFmtId="166" formatCode="0.00&quot;x&quot;"/>
    <numFmt numFmtId="167" formatCode="0.00&quot; days&quot;"/>
    <numFmt numFmtId="168" formatCode="#,##0.00,"/>
    <numFmt numFmtId="169" formatCode="&quot;$&quot;#,##0.00;[Red]\(&quot;$&quot;#,##0.00\)"/>
  </numFmts>
  <fonts count="21" x14ac:knownFonts="1">
    <font>
      <sz val="11"/>
      <name val="Times New Roman"/>
    </font>
    <font>
      <sz val="11"/>
      <name val="Times New Roman"/>
      <family val="1"/>
    </font>
    <font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0"/>
      <name val="MS Sans Serif"/>
      <family val="2"/>
    </font>
    <font>
      <i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8"/>
      <name val="Times New Roman"/>
      <family val="1"/>
    </font>
    <font>
      <sz val="8"/>
      <color indexed="81"/>
      <name val="Tahoma"/>
      <family val="2"/>
    </font>
    <font>
      <b/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0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2" borderId="1">
      <alignment horizontal="center" vertical="justify"/>
    </xf>
  </cellStyleXfs>
  <cellXfs count="82">
    <xf numFmtId="0" fontId="0" fillId="0" borderId="0" xfId="0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0" applyFont="1"/>
    <xf numFmtId="0" fontId="9" fillId="0" borderId="0" xfId="0" applyFont="1"/>
    <xf numFmtId="0" fontId="8" fillId="0" borderId="0" xfId="0" applyFont="1"/>
    <xf numFmtId="0" fontId="0" fillId="0" borderId="3" xfId="0" applyBorder="1" applyAlignment="1">
      <alignment horizontal="centerContinuous"/>
    </xf>
    <xf numFmtId="0" fontId="13" fillId="0" borderId="0" xfId="0" applyFont="1"/>
    <xf numFmtId="0" fontId="12" fillId="0" borderId="0" xfId="0" applyFont="1" applyAlignment="1">
      <alignment horizontal="centerContinuous"/>
    </xf>
    <xf numFmtId="0" fontId="12" fillId="0" borderId="0" xfId="0" applyFont="1"/>
    <xf numFmtId="0" fontId="16" fillId="0" borderId="0" xfId="0" applyFont="1"/>
    <xf numFmtId="10" fontId="0" fillId="0" borderId="0" xfId="3" applyNumberFormat="1" applyFont="1"/>
    <xf numFmtId="0" fontId="7" fillId="3" borderId="6" xfId="0" applyFont="1" applyFill="1" applyBorder="1"/>
    <xf numFmtId="0" fontId="7" fillId="3" borderId="6" xfId="0" applyFont="1" applyFill="1" applyBorder="1" applyAlignment="1">
      <alignment horizontal="right"/>
    </xf>
    <xf numFmtId="0" fontId="8" fillId="3" borderId="7" xfId="0" applyFont="1" applyFill="1" applyBorder="1"/>
    <xf numFmtId="0" fontId="14" fillId="3" borderId="8" xfId="0" applyFont="1" applyFill="1" applyBorder="1" applyAlignment="1">
      <alignment horizontal="centerContinuous"/>
    </xf>
    <xf numFmtId="0" fontId="0" fillId="0" borderId="0" xfId="0" applyAlignment="1">
      <alignment horizontal="center"/>
    </xf>
    <xf numFmtId="0" fontId="13" fillId="0" borderId="3" xfId="0" applyFont="1" applyBorder="1"/>
    <xf numFmtId="0" fontId="0" fillId="0" borderId="0" xfId="0" applyAlignment="1">
      <alignment wrapText="1"/>
    </xf>
    <xf numFmtId="0" fontId="15" fillId="0" borderId="0" xfId="0" applyFont="1" applyAlignment="1">
      <alignment horizontal="centerContinuous"/>
    </xf>
    <xf numFmtId="0" fontId="7" fillId="0" borderId="3" xfId="0" applyFont="1" applyBorder="1"/>
    <xf numFmtId="164" fontId="8" fillId="3" borderId="7" xfId="0" applyNumberFormat="1" applyFont="1" applyFill="1" applyBorder="1"/>
    <xf numFmtId="0" fontId="15" fillId="0" borderId="3" xfId="0" applyFont="1" applyBorder="1" applyAlignment="1">
      <alignment horizontal="center" wrapText="1"/>
    </xf>
    <xf numFmtId="9" fontId="0" fillId="0" borderId="0" xfId="0" applyNumberFormat="1"/>
    <xf numFmtId="168" fontId="0" fillId="0" borderId="0" xfId="0" applyNumberFormat="1"/>
    <xf numFmtId="168" fontId="0" fillId="3" borderId="6" xfId="0" applyNumberFormat="1" applyFill="1" applyBorder="1"/>
    <xf numFmtId="0" fontId="15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3" fontId="0" fillId="0" borderId="0" xfId="0" applyNumberFormat="1"/>
    <xf numFmtId="3" fontId="0" fillId="0" borderId="4" xfId="0" applyNumberFormat="1" applyBorder="1"/>
    <xf numFmtId="3" fontId="11" fillId="0" borderId="0" xfId="0" applyNumberFormat="1" applyFont="1"/>
    <xf numFmtId="3" fontId="5" fillId="0" borderId="4" xfId="0" applyNumberFormat="1" applyFont="1" applyBorder="1"/>
    <xf numFmtId="3" fontId="16" fillId="0" borderId="0" xfId="0" applyNumberFormat="1" applyFont="1"/>
    <xf numFmtId="3" fontId="11" fillId="0" borderId="4" xfId="0" applyNumberFormat="1" applyFont="1" applyBorder="1"/>
    <xf numFmtId="3" fontId="16" fillId="0" borderId="3" xfId="0" applyNumberFormat="1" applyFont="1" applyBorder="1"/>
    <xf numFmtId="0" fontId="8" fillId="0" borderId="0" xfId="0" applyFont="1" applyAlignment="1">
      <alignment horizontal="centerContinuous"/>
    </xf>
    <xf numFmtId="0" fontId="8" fillId="0" borderId="3" xfId="0" applyFont="1" applyBorder="1" applyAlignment="1">
      <alignment horizontal="centerContinuous"/>
    </xf>
    <xf numFmtId="37" fontId="0" fillId="0" borderId="0" xfId="0" applyNumberFormat="1"/>
    <xf numFmtId="0" fontId="16" fillId="4" borderId="6" xfId="0" applyFont="1" applyFill="1" applyBorder="1"/>
    <xf numFmtId="0" fontId="16" fillId="4" borderId="6" xfId="0" applyFont="1" applyFill="1" applyBorder="1" applyAlignment="1">
      <alignment horizontal="right"/>
    </xf>
    <xf numFmtId="38" fontId="12" fillId="0" borderId="4" xfId="1" applyNumberFormat="1" applyFont="1" applyBorder="1"/>
    <xf numFmtId="38" fontId="16" fillId="0" borderId="0" xfId="1" applyNumberFormat="1" applyFont="1"/>
    <xf numFmtId="38" fontId="16" fillId="0" borderId="5" xfId="1" applyNumberFormat="1" applyFont="1" applyBorder="1"/>
    <xf numFmtId="0" fontId="14" fillId="0" borderId="3" xfId="0" applyFont="1" applyBorder="1" applyAlignment="1">
      <alignment horizontal="left" wrapText="1"/>
    </xf>
    <xf numFmtId="0" fontId="14" fillId="0" borderId="3" xfId="0" applyFont="1" applyBorder="1" applyAlignment="1">
      <alignment horizontal="center" wrapText="1"/>
    </xf>
    <xf numFmtId="0" fontId="3" fillId="0" borderId="0" xfId="0" applyFont="1"/>
    <xf numFmtId="0" fontId="15" fillId="3" borderId="8" xfId="0" applyFont="1" applyFill="1" applyBorder="1" applyAlignment="1">
      <alignment horizontal="centerContinuous"/>
    </xf>
    <xf numFmtId="0" fontId="2" fillId="0" borderId="0" xfId="0" applyFont="1" applyAlignment="1">
      <alignment horizontal="left" indent="1"/>
    </xf>
    <xf numFmtId="166" fontId="12" fillId="0" borderId="0" xfId="0" applyNumberFormat="1" applyFont="1" applyAlignment="1">
      <alignment horizontal="right" indent="1"/>
    </xf>
    <xf numFmtId="4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1"/>
    </xf>
    <xf numFmtId="0" fontId="0" fillId="0" borderId="0" xfId="0" applyAlignment="1">
      <alignment horizontal="right" indent="1"/>
    </xf>
    <xf numFmtId="167" fontId="12" fillId="0" borderId="0" xfId="0" applyNumberFormat="1" applyFont="1" applyAlignment="1">
      <alignment horizontal="right" indent="1"/>
    </xf>
    <xf numFmtId="10" fontId="12" fillId="0" borderId="0" xfId="0" applyNumberFormat="1" applyFont="1" applyAlignment="1">
      <alignment horizontal="right" indent="1"/>
    </xf>
    <xf numFmtId="10" fontId="12" fillId="0" borderId="0" xfId="3" applyNumberFormat="1" applyFont="1" applyAlignment="1">
      <alignment horizontal="right" indent="1"/>
    </xf>
    <xf numFmtId="166" fontId="12" fillId="0" borderId="0" xfId="3" applyNumberFormat="1" applyFont="1" applyAlignment="1">
      <alignment horizontal="right" indent="1"/>
    </xf>
    <xf numFmtId="10" fontId="12" fillId="0" borderId="3" xfId="3" applyNumberFormat="1" applyFont="1" applyBorder="1" applyAlignment="1">
      <alignment horizontal="right" indent="1"/>
    </xf>
    <xf numFmtId="0" fontId="1" fillId="0" borderId="0" xfId="0" applyFont="1"/>
    <xf numFmtId="0" fontId="1" fillId="5" borderId="0" xfId="0" applyFont="1" applyFill="1"/>
    <xf numFmtId="0" fontId="0" fillId="5" borderId="0" xfId="0" applyFill="1"/>
    <xf numFmtId="165" fontId="1" fillId="0" borderId="0" xfId="0" applyNumberFormat="1" applyFont="1"/>
    <xf numFmtId="38" fontId="12" fillId="5" borderId="0" xfId="1" applyNumberFormat="1" applyFont="1" applyFill="1"/>
    <xf numFmtId="38" fontId="12" fillId="5" borderId="4" xfId="1" applyNumberFormat="1" applyFont="1" applyFill="1" applyBorder="1"/>
    <xf numFmtId="0" fontId="19" fillId="6" borderId="6" xfId="0" applyFont="1" applyFill="1" applyBorder="1" applyAlignment="1">
      <alignment horizontal="right"/>
    </xf>
    <xf numFmtId="0" fontId="8" fillId="5" borderId="0" xfId="0" applyFont="1" applyFill="1"/>
    <xf numFmtId="168" fontId="8" fillId="5" borderId="0" xfId="0" applyNumberFormat="1" applyFont="1" applyFill="1"/>
    <xf numFmtId="0" fontId="20" fillId="5" borderId="2" xfId="0" applyFont="1" applyFill="1" applyBorder="1"/>
    <xf numFmtId="3" fontId="20" fillId="5" borderId="2" xfId="0" applyNumberFormat="1" applyFont="1" applyFill="1" applyBorder="1"/>
    <xf numFmtId="168" fontId="20" fillId="5" borderId="5" xfId="0" applyNumberFormat="1" applyFont="1" applyFill="1" applyBorder="1"/>
    <xf numFmtId="166" fontId="13" fillId="5" borderId="0" xfId="0" applyNumberFormat="1" applyFont="1" applyFill="1" applyAlignment="1">
      <alignment horizontal="right" indent="1"/>
    </xf>
    <xf numFmtId="166" fontId="12" fillId="5" borderId="0" xfId="0" applyNumberFormat="1" applyFont="1" applyFill="1" applyAlignment="1">
      <alignment horizontal="right" indent="1"/>
    </xf>
    <xf numFmtId="167" fontId="13" fillId="5" borderId="0" xfId="0" applyNumberFormat="1" applyFont="1" applyFill="1" applyAlignment="1">
      <alignment horizontal="right" indent="1"/>
    </xf>
    <xf numFmtId="10" fontId="13" fillId="5" borderId="0" xfId="0" applyNumberFormat="1" applyFont="1" applyFill="1" applyAlignment="1">
      <alignment horizontal="right" indent="1"/>
    </xf>
    <xf numFmtId="166" fontId="13" fillId="5" borderId="0" xfId="3" applyNumberFormat="1" applyFont="1" applyFill="1" applyAlignment="1">
      <alignment horizontal="right" indent="1"/>
    </xf>
    <xf numFmtId="10" fontId="13" fillId="5" borderId="0" xfId="3" applyNumberFormat="1" applyFont="1" applyFill="1" applyAlignment="1">
      <alignment horizontal="right" indent="1"/>
    </xf>
    <xf numFmtId="10" fontId="13" fillId="5" borderId="3" xfId="0" applyNumberFormat="1" applyFont="1" applyFill="1" applyBorder="1" applyAlignment="1">
      <alignment horizontal="right" indent="1"/>
    </xf>
    <xf numFmtId="10" fontId="0" fillId="5" borderId="0" xfId="3" applyNumberFormat="1" applyFont="1" applyFill="1" applyAlignment="1">
      <alignment horizontal="right" indent="1"/>
    </xf>
    <xf numFmtId="3" fontId="0" fillId="5" borderId="0" xfId="0" applyNumberFormat="1" applyFill="1" applyAlignment="1">
      <alignment horizontal="right" indent="1"/>
    </xf>
    <xf numFmtId="2" fontId="0" fillId="5" borderId="0" xfId="0" applyNumberFormat="1" applyFill="1" applyAlignment="1">
      <alignment horizontal="right" indent="1"/>
    </xf>
    <xf numFmtId="169" fontId="0" fillId="5" borderId="0" xfId="2" applyNumberFormat="1" applyFont="1" applyFill="1" applyAlignment="1">
      <alignment horizontal="right" indent="1"/>
    </xf>
    <xf numFmtId="10" fontId="12" fillId="5" borderId="0" xfId="3" applyNumberFormat="1" applyFont="1" applyFill="1" applyAlignment="1">
      <alignment horizontal="right" indent="1"/>
    </xf>
  </cellXfs>
  <cellStyles count="5">
    <cellStyle name="Comma" xfId="1" builtinId="3"/>
    <cellStyle name="Currency" xfId="2" builtinId="4"/>
    <cellStyle name="Normal" xfId="0" builtinId="0"/>
    <cellStyle name="Percent" xfId="3" builtinId="5"/>
    <cellStyle name="ShadedHeadings" xfId="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593482</xdr:colOff>
      <xdr:row>9</xdr:row>
      <xdr:rowOff>72152</xdr:rowOff>
    </xdr:from>
    <xdr:to>
      <xdr:col>13</xdr:col>
      <xdr:colOff>461597</xdr:colOff>
      <xdr:row>12</xdr:row>
      <xdr:rowOff>16468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D3787AB-8A42-4912-B3E5-9FE385CEEE44}"/>
            </a:ext>
          </a:extLst>
        </xdr:cNvPr>
        <xdr:cNvSpPr txBox="1">
          <a:spLocks noChangeArrowheads="1"/>
        </xdr:cNvSpPr>
      </xdr:nvSpPr>
      <xdr:spPr bwMode="auto">
        <a:xfrm>
          <a:off x="4872405" y="1837940"/>
          <a:ext cx="4733192" cy="53779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Note: The year in cell </a:t>
          </a:r>
          <a:r>
            <a:rPr lang="en-US" sz="1100" b="0" i="0" strike="noStrike">
              <a:solidFill>
                <a:srgbClr val="FF0000"/>
              </a:solidFill>
              <a:latin typeface="Times New Roman"/>
              <a:cs typeface="Times New Roman"/>
            </a:rPr>
            <a:t>B4 is the one which all of years in this workbook depend on. 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To change all dates, change B4 to another year.  This will also be reflected in the text in these workbooks.</a:t>
          </a:r>
        </a:p>
      </xdr:txBody>
    </xdr:sp>
    <xdr:clientData/>
  </xdr:twoCellAnchor>
  <xdr:twoCellAnchor editAs="oneCell">
    <xdr:from>
      <xdr:col>5</xdr:col>
      <xdr:colOff>549519</xdr:colOff>
      <xdr:row>3</xdr:row>
      <xdr:rowOff>102577</xdr:rowOff>
    </xdr:from>
    <xdr:to>
      <xdr:col>13</xdr:col>
      <xdr:colOff>325185</xdr:colOff>
      <xdr:row>7</xdr:row>
      <xdr:rowOff>41585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C08474-61B4-40B4-B6AB-6C8B47971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8442" y="681404"/>
          <a:ext cx="4640743" cy="73031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8"/>
  <sheetViews>
    <sheetView topLeftCell="A5" zoomScaleNormal="100" workbookViewId="0">
      <selection activeCell="I14" sqref="I14"/>
    </sheetView>
  </sheetViews>
  <sheetFormatPr defaultRowHeight="15" x14ac:dyDescent="0.25"/>
  <cols>
    <col min="1" max="1" width="24.28515625" bestFit="1" customWidth="1"/>
    <col min="2" max="2" width="10.7109375" customWidth="1"/>
    <col min="3" max="3" width="10.85546875" customWidth="1"/>
    <col min="16" max="16" width="9.140625" style="5"/>
  </cols>
  <sheetData>
    <row r="1" spans="1:16" x14ac:dyDescent="0.25">
      <c r="A1" s="19" t="s">
        <v>0</v>
      </c>
      <c r="B1" s="8"/>
      <c r="C1" s="8"/>
      <c r="F1" s="59" t="s">
        <v>88</v>
      </c>
      <c r="G1" s="59" t="s">
        <v>89</v>
      </c>
      <c r="P1" s="16"/>
    </row>
    <row r="2" spans="1:16" x14ac:dyDescent="0.25">
      <c r="A2" s="19" t="s">
        <v>1</v>
      </c>
      <c r="B2" s="8"/>
      <c r="C2" s="8"/>
    </row>
    <row r="3" spans="1:16" ht="15.75" thickBot="1" x14ac:dyDescent="0.3">
      <c r="A3" s="36" t="str">
        <f>CONCATENATE("For the Year Ended Dec. 31, ",B4)</f>
        <v>For the Year Ended Dec. 31, 2016</v>
      </c>
      <c r="B3" s="8"/>
      <c r="C3" s="8"/>
      <c r="E3" s="60" t="str">
        <f ca="1">_xlfn.FORMULATEXT(A3)</f>
        <v>=CONCATENATE("For the Year Ended Dec. 31, ",B4)</v>
      </c>
      <c r="F3" s="60"/>
      <c r="G3" s="60"/>
    </row>
    <row r="4" spans="1:16" ht="15.75" customHeight="1" x14ac:dyDescent="0.25">
      <c r="A4" s="39"/>
      <c r="B4" s="64">
        <v>2016</v>
      </c>
      <c r="C4" s="40">
        <f>B4-1</f>
        <v>2015</v>
      </c>
    </row>
    <row r="5" spans="1:16" ht="15.75" customHeight="1" x14ac:dyDescent="0.25">
      <c r="A5" s="9" t="s">
        <v>2</v>
      </c>
      <c r="B5" s="62">
        <v>3850000</v>
      </c>
      <c r="C5" s="62">
        <v>3432000</v>
      </c>
      <c r="E5" s="61"/>
    </row>
    <row r="6" spans="1:16" ht="15.75" customHeight="1" x14ac:dyDescent="0.25">
      <c r="A6" s="9" t="s">
        <v>3</v>
      </c>
      <c r="B6" s="63">
        <v>3250000</v>
      </c>
      <c r="C6" s="63">
        <v>2864000</v>
      </c>
    </row>
    <row r="7" spans="1:16" ht="15.75" customHeight="1" x14ac:dyDescent="0.25">
      <c r="A7" s="10" t="s">
        <v>4</v>
      </c>
      <c r="B7" s="42">
        <f>B5-B6</f>
        <v>600000</v>
      </c>
      <c r="C7" s="42">
        <f>C5-C6</f>
        <v>568000</v>
      </c>
      <c r="D7" s="58" t="s">
        <v>92</v>
      </c>
      <c r="E7" s="60" t="str">
        <f ca="1">_xlfn.FORMULATEXT(C7)</f>
        <v>=C5-C6</v>
      </c>
    </row>
    <row r="8" spans="1:16" ht="15.75" customHeight="1" x14ac:dyDescent="0.25">
      <c r="A8" s="9" t="s">
        <v>5</v>
      </c>
      <c r="B8" s="62">
        <v>330300</v>
      </c>
      <c r="C8" s="62">
        <v>240000</v>
      </c>
      <c r="D8" s="58"/>
    </row>
    <row r="9" spans="1:16" ht="15.75" customHeight="1" x14ac:dyDescent="0.25">
      <c r="A9" s="9" t="s">
        <v>6</v>
      </c>
      <c r="B9" s="62">
        <v>100000</v>
      </c>
      <c r="C9" s="62">
        <v>100000</v>
      </c>
      <c r="D9" s="58"/>
      <c r="F9" s="59" t="s">
        <v>90</v>
      </c>
      <c r="G9" s="59" t="s">
        <v>91</v>
      </c>
    </row>
    <row r="10" spans="1:16" ht="15.75" customHeight="1" x14ac:dyDescent="0.25">
      <c r="A10" s="9" t="s">
        <v>7</v>
      </c>
      <c r="B10" s="63">
        <v>20000</v>
      </c>
      <c r="C10" s="63">
        <v>18900</v>
      </c>
      <c r="D10" s="58"/>
    </row>
    <row r="11" spans="1:16" ht="15.75" customHeight="1" x14ac:dyDescent="0.25">
      <c r="A11" s="10" t="s">
        <v>8</v>
      </c>
      <c r="B11" s="42">
        <f>B7-SUM(B8:B10)</f>
        <v>149700</v>
      </c>
      <c r="C11" s="42">
        <f>C7-SUM(C8:C10)</f>
        <v>209100</v>
      </c>
      <c r="D11" s="58" t="s">
        <v>92</v>
      </c>
      <c r="E11" s="60" t="str">
        <f t="shared" ref="E11:E15" ca="1" si="0">_xlfn.FORMULATEXT(C11)</f>
        <v>=C7-SUM(C8:C10)</v>
      </c>
    </row>
    <row r="12" spans="1:16" ht="15.75" customHeight="1" x14ac:dyDescent="0.25">
      <c r="A12" s="9" t="s">
        <v>9</v>
      </c>
      <c r="B12" s="63">
        <v>76000</v>
      </c>
      <c r="C12" s="63">
        <v>62500</v>
      </c>
      <c r="D12" s="58"/>
    </row>
    <row r="13" spans="1:16" ht="15.75" customHeight="1" x14ac:dyDescent="0.25">
      <c r="A13" s="10" t="s">
        <v>10</v>
      </c>
      <c r="B13" s="42">
        <f>B11-B12</f>
        <v>73700</v>
      </c>
      <c r="C13" s="42">
        <f>C11-C12</f>
        <v>146600</v>
      </c>
      <c r="D13" s="58" t="s">
        <v>92</v>
      </c>
      <c r="E13" s="60" t="str">
        <f t="shared" ca="1" si="0"/>
        <v>=C11-C12</v>
      </c>
    </row>
    <row r="14" spans="1:16" ht="15.75" customHeight="1" x14ac:dyDescent="0.25">
      <c r="A14" s="9" t="s">
        <v>65</v>
      </c>
      <c r="B14" s="41">
        <f>B13*$B18</f>
        <v>29480</v>
      </c>
      <c r="C14" s="41">
        <f>C13*$B18</f>
        <v>58640</v>
      </c>
      <c r="D14" s="58" t="s">
        <v>92</v>
      </c>
      <c r="E14" s="60" t="str">
        <f t="shared" ca="1" si="0"/>
        <v>=C13*$B18</v>
      </c>
    </row>
    <row r="15" spans="1:16" ht="15.75" thickBot="1" x14ac:dyDescent="0.3">
      <c r="A15" s="10" t="s">
        <v>11</v>
      </c>
      <c r="B15" s="43">
        <f>B13-B14</f>
        <v>44220</v>
      </c>
      <c r="C15" s="43">
        <f>C13-C14</f>
        <v>87960</v>
      </c>
      <c r="D15" s="58" t="s">
        <v>92</v>
      </c>
      <c r="E15" s="60" t="str">
        <f t="shared" ca="1" si="0"/>
        <v>=C13-C14</v>
      </c>
    </row>
    <row r="16" spans="1:16" ht="15.75" thickTop="1" x14ac:dyDescent="0.25"/>
    <row r="17" spans="1:2" x14ac:dyDescent="0.25">
      <c r="A17" t="s">
        <v>64</v>
      </c>
    </row>
    <row r="18" spans="1:2" x14ac:dyDescent="0.25">
      <c r="A18" t="s">
        <v>63</v>
      </c>
      <c r="B18" s="23">
        <v>0.4</v>
      </c>
    </row>
  </sheetData>
  <phoneticPr fontId="17" type="noConversion"/>
  <printOptions gridLines="1" gridLinesSet="0"/>
  <pageMargins left="0.25" right="0.2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24"/>
  <sheetViews>
    <sheetView topLeftCell="A9" zoomScaleNormal="100" workbookViewId="0">
      <selection activeCell="C30" sqref="C30"/>
    </sheetView>
  </sheetViews>
  <sheetFormatPr defaultRowHeight="15" x14ac:dyDescent="0.25"/>
  <cols>
    <col min="1" max="1" width="33.5703125" customWidth="1"/>
    <col min="2" max="3" width="12.7109375" customWidth="1"/>
    <col min="5" max="5" width="37" bestFit="1" customWidth="1"/>
  </cols>
  <sheetData>
    <row r="1" spans="1:5" ht="15.75" x14ac:dyDescent="0.25">
      <c r="A1" s="36" t="str">
        <f>IS!A1</f>
        <v>Elvis Products International</v>
      </c>
      <c r="B1" s="1"/>
      <c r="C1" s="1"/>
    </row>
    <row r="2" spans="1:5" ht="15.75" x14ac:dyDescent="0.25">
      <c r="A2" s="36" t="s">
        <v>12</v>
      </c>
      <c r="B2" s="1"/>
      <c r="C2" s="1"/>
    </row>
    <row r="3" spans="1:5" ht="16.5" thickBot="1" x14ac:dyDescent="0.3">
      <c r="A3" s="36" t="str">
        <f>CONCATENATE("As of Dec 31, ",B4)</f>
        <v>As of Dec 31, 2016</v>
      </c>
      <c r="B3" s="1"/>
      <c r="C3" s="1"/>
      <c r="D3" s="58" t="s">
        <v>92</v>
      </c>
      <c r="E3" s="60" t="str">
        <f ca="1">_xlfn.FORMULATEXT(A3)</f>
        <v>=CONCATENATE("As of Dec 31, ",B4)</v>
      </c>
    </row>
    <row r="4" spans="1:5" x14ac:dyDescent="0.25">
      <c r="A4" s="12" t="s">
        <v>13</v>
      </c>
      <c r="B4" s="64">
        <f>IS!B4</f>
        <v>2016</v>
      </c>
      <c r="C4" s="13">
        <f>B4-1</f>
        <v>2015</v>
      </c>
      <c r="D4" s="58" t="s">
        <v>92</v>
      </c>
      <c r="E4" s="60" t="str">
        <f t="shared" ref="E4" ca="1" si="0">_xlfn.FORMULATEXT(C4)</f>
        <v>=B4-1</v>
      </c>
    </row>
    <row r="5" spans="1:5" x14ac:dyDescent="0.25">
      <c r="A5" s="48" t="s">
        <v>78</v>
      </c>
      <c r="B5" s="29">
        <v>52000</v>
      </c>
      <c r="C5" s="29">
        <v>57600</v>
      </c>
    </row>
    <row r="6" spans="1:5" x14ac:dyDescent="0.25">
      <c r="A6" s="48" t="s">
        <v>79</v>
      </c>
      <c r="B6" s="29">
        <v>402000</v>
      </c>
      <c r="C6" s="29">
        <v>351200</v>
      </c>
    </row>
    <row r="7" spans="1:5" x14ac:dyDescent="0.25">
      <c r="A7" s="48" t="s">
        <v>77</v>
      </c>
      <c r="B7" s="30">
        <v>836000</v>
      </c>
      <c r="C7" s="30">
        <v>715200</v>
      </c>
      <c r="D7" s="58"/>
    </row>
    <row r="8" spans="1:5" x14ac:dyDescent="0.25">
      <c r="A8" s="4" t="s">
        <v>14</v>
      </c>
      <c r="B8" s="31">
        <f>SUM(B5:B7)</f>
        <v>1290000</v>
      </c>
      <c r="C8" s="31">
        <f>SUM(C5:C7)</f>
        <v>1124000</v>
      </c>
      <c r="D8" s="58" t="s">
        <v>92</v>
      </c>
      <c r="E8" s="60" t="str">
        <f ca="1">_xlfn.FORMULATEXT(C8)</f>
        <v>=SUM(C5:C7)</v>
      </c>
    </row>
    <row r="9" spans="1:5" x14ac:dyDescent="0.25">
      <c r="A9" s="48" t="s">
        <v>80</v>
      </c>
      <c r="B9" s="29">
        <v>527000</v>
      </c>
      <c r="C9" s="29">
        <v>491000</v>
      </c>
      <c r="D9" s="58"/>
    </row>
    <row r="10" spans="1:5" x14ac:dyDescent="0.25">
      <c r="A10" s="48" t="s">
        <v>81</v>
      </c>
      <c r="B10" s="30">
        <f>C10+IS!B10</f>
        <v>166200</v>
      </c>
      <c r="C10" s="30">
        <v>146200</v>
      </c>
      <c r="D10" s="58"/>
    </row>
    <row r="11" spans="1:5" ht="15.75" x14ac:dyDescent="0.25">
      <c r="A11" s="4" t="s">
        <v>15</v>
      </c>
      <c r="B11" s="32">
        <f>B9-B10</f>
        <v>360800</v>
      </c>
      <c r="C11" s="32">
        <f>C9-C10</f>
        <v>344800</v>
      </c>
      <c r="D11" s="58" t="s">
        <v>92</v>
      </c>
      <c r="E11" s="60" t="str">
        <f t="shared" ref="E11:E23" ca="1" si="1">_xlfn.FORMULATEXT(C11)</f>
        <v>=C9-C10</v>
      </c>
    </row>
    <row r="12" spans="1:5" ht="15.75" thickBot="1" x14ac:dyDescent="0.3">
      <c r="A12" s="3" t="s">
        <v>16</v>
      </c>
      <c r="B12" s="33">
        <f>B8+B11</f>
        <v>1650800</v>
      </c>
      <c r="C12" s="33">
        <f>C8+C11</f>
        <v>1468800</v>
      </c>
      <c r="D12" s="58" t="s">
        <v>92</v>
      </c>
      <c r="E12" s="60" t="str">
        <f t="shared" ca="1" si="1"/>
        <v>=C8+C11</v>
      </c>
    </row>
    <row r="13" spans="1:5" x14ac:dyDescent="0.25">
      <c r="A13" s="12" t="s">
        <v>17</v>
      </c>
      <c r="B13" s="25"/>
      <c r="C13" s="25"/>
      <c r="D13" s="58"/>
    </row>
    <row r="14" spans="1:5" x14ac:dyDescent="0.25">
      <c r="A14" s="48" t="s">
        <v>82</v>
      </c>
      <c r="B14" s="29">
        <v>175200</v>
      </c>
      <c r="C14" s="29">
        <v>145600</v>
      </c>
      <c r="D14" s="58"/>
    </row>
    <row r="15" spans="1:5" x14ac:dyDescent="0.25">
      <c r="A15" s="48" t="s">
        <v>83</v>
      </c>
      <c r="B15" s="29">
        <v>225000</v>
      </c>
      <c r="C15" s="29">
        <v>200000</v>
      </c>
      <c r="D15" s="58"/>
    </row>
    <row r="16" spans="1:5" x14ac:dyDescent="0.25">
      <c r="A16" s="48" t="s">
        <v>84</v>
      </c>
      <c r="B16" s="30">
        <v>140000</v>
      </c>
      <c r="C16" s="30">
        <v>136000</v>
      </c>
    </row>
    <row r="17" spans="1:5" x14ac:dyDescent="0.25">
      <c r="A17" s="4" t="s">
        <v>18</v>
      </c>
      <c r="B17" s="31">
        <f>SUM(B14:B16)</f>
        <v>540200</v>
      </c>
      <c r="C17" s="31">
        <f>SUM(C14:C16)</f>
        <v>481600</v>
      </c>
      <c r="D17" s="58" t="s">
        <v>92</v>
      </c>
      <c r="E17" s="60" t="str">
        <f t="shared" ca="1" si="1"/>
        <v>=SUM(C14:C16)</v>
      </c>
    </row>
    <row r="18" spans="1:5" x14ac:dyDescent="0.25">
      <c r="A18" s="48" t="s">
        <v>85</v>
      </c>
      <c r="B18" s="30">
        <v>424612</v>
      </c>
      <c r="C18" s="30">
        <v>323432</v>
      </c>
    </row>
    <row r="19" spans="1:5" x14ac:dyDescent="0.25">
      <c r="A19" s="4" t="s">
        <v>19</v>
      </c>
      <c r="B19" s="31">
        <f>B17+B18</f>
        <v>964812</v>
      </c>
      <c r="C19" s="31">
        <f>C17+C18</f>
        <v>805032</v>
      </c>
      <c r="D19" s="58" t="s">
        <v>92</v>
      </c>
      <c r="E19" s="60" t="str">
        <f t="shared" ca="1" si="1"/>
        <v>=C17+C18</v>
      </c>
    </row>
    <row r="20" spans="1:5" x14ac:dyDescent="0.25">
      <c r="A20" s="48" t="s">
        <v>87</v>
      </c>
      <c r="B20" s="29">
        <v>460000</v>
      </c>
      <c r="C20" s="29">
        <v>460000</v>
      </c>
    </row>
    <row r="21" spans="1:5" x14ac:dyDescent="0.25">
      <c r="A21" s="48" t="s">
        <v>86</v>
      </c>
      <c r="B21" s="30">
        <v>225988</v>
      </c>
      <c r="C21" s="30">
        <v>203768</v>
      </c>
    </row>
    <row r="22" spans="1:5" x14ac:dyDescent="0.25">
      <c r="A22" s="4" t="s">
        <v>20</v>
      </c>
      <c r="B22" s="34">
        <f>B20+B21</f>
        <v>685988</v>
      </c>
      <c r="C22" s="34">
        <f>C20+C21</f>
        <v>663768</v>
      </c>
      <c r="D22" s="58" t="s">
        <v>92</v>
      </c>
      <c r="E22" s="60" t="str">
        <f t="shared" ca="1" si="1"/>
        <v>=C20+C21</v>
      </c>
    </row>
    <row r="23" spans="1:5" ht="15.75" thickBot="1" x14ac:dyDescent="0.3">
      <c r="A23" s="20" t="s">
        <v>21</v>
      </c>
      <c r="B23" s="35">
        <f>B19+B22</f>
        <v>1650800</v>
      </c>
      <c r="C23" s="35">
        <f>C19+C22</f>
        <v>1468800</v>
      </c>
      <c r="D23" s="58" t="s">
        <v>92</v>
      </c>
      <c r="E23" s="60" t="str">
        <f t="shared" ca="1" si="1"/>
        <v>=C19+C22</v>
      </c>
    </row>
    <row r="24" spans="1:5" ht="15.75" customHeight="1" x14ac:dyDescent="0.25"/>
  </sheetData>
  <phoneticPr fontId="17" type="noConversion"/>
  <printOptions gridLines="1" gridLinesSet="0"/>
  <pageMargins left="0.25" right="0.2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22"/>
  <sheetViews>
    <sheetView topLeftCell="A6" zoomScaleNormal="100" workbookViewId="0">
      <selection activeCell="D30" sqref="D30"/>
    </sheetView>
  </sheetViews>
  <sheetFormatPr defaultRowHeight="15" outlineLevelRow="1" x14ac:dyDescent="0.25"/>
  <cols>
    <col min="1" max="1" width="34" customWidth="1"/>
    <col min="2" max="2" width="10.85546875" bestFit="1" customWidth="1"/>
    <col min="3" max="3" width="11.28515625" bestFit="1" customWidth="1"/>
    <col min="4" max="4" width="27.140625" bestFit="1" customWidth="1"/>
    <col min="5" max="5" width="14.5703125" bestFit="1" customWidth="1"/>
  </cols>
  <sheetData>
    <row r="1" spans="1:8" x14ac:dyDescent="0.25">
      <c r="A1" s="36" t="str">
        <f>IS!A1</f>
        <v>Elvis Products International</v>
      </c>
      <c r="B1" s="2"/>
      <c r="C1" s="2"/>
    </row>
    <row r="2" spans="1:8" x14ac:dyDescent="0.25">
      <c r="A2" s="36" t="s">
        <v>22</v>
      </c>
      <c r="B2" s="2"/>
      <c r="C2" s="2"/>
    </row>
    <row r="3" spans="1:8" ht="15.75" thickBot="1" x14ac:dyDescent="0.3">
      <c r="A3" s="37" t="str">
        <f>IS!A3&amp;" ($ in 000's)"</f>
        <v>For the Year Ended Dec. 31, 2016 ($ in 000's)</v>
      </c>
      <c r="B3" s="6"/>
      <c r="C3" s="6"/>
    </row>
    <row r="4" spans="1:8" outlineLevel="1" x14ac:dyDescent="0.25">
      <c r="A4" s="14" t="s">
        <v>23</v>
      </c>
      <c r="B4" s="14"/>
      <c r="C4" s="14"/>
    </row>
    <row r="5" spans="1:8" outlineLevel="1" x14ac:dyDescent="0.25">
      <c r="A5" t="s">
        <v>11</v>
      </c>
      <c r="B5" s="24">
        <f>IS!B15</f>
        <v>44220</v>
      </c>
      <c r="C5" s="24"/>
      <c r="D5" t="str">
        <f ca="1">_xlfn.FORMULATEXT(B5)</f>
        <v>=IS!B15</v>
      </c>
    </row>
    <row r="6" spans="1:8" outlineLevel="1" x14ac:dyDescent="0.25">
      <c r="A6" t="s">
        <v>7</v>
      </c>
      <c r="B6" s="24">
        <f>IS!B10</f>
        <v>20000</v>
      </c>
      <c r="C6" s="24"/>
      <c r="D6" t="str">
        <f t="shared" ref="D6:E21" ca="1" si="0">_xlfn.FORMULATEXT(B6)</f>
        <v>=IS!B10</v>
      </c>
    </row>
    <row r="7" spans="1:8" outlineLevel="1" x14ac:dyDescent="0.25">
      <c r="A7" t="s">
        <v>24</v>
      </c>
      <c r="B7" s="24">
        <f>BS!C6-BS!B6</f>
        <v>-50800</v>
      </c>
      <c r="C7" s="24"/>
      <c r="D7" t="str">
        <f t="shared" ca="1" si="0"/>
        <v>=BS!C6-BS!B6</v>
      </c>
    </row>
    <row r="8" spans="1:8" outlineLevel="1" x14ac:dyDescent="0.25">
      <c r="A8" t="s">
        <v>25</v>
      </c>
      <c r="B8" s="24">
        <f>BS!C7-BS!B7</f>
        <v>-120800</v>
      </c>
      <c r="C8" s="24"/>
      <c r="D8" t="str">
        <f t="shared" ca="1" si="0"/>
        <v>=BS!C7-BS!B7</v>
      </c>
    </row>
    <row r="9" spans="1:8" outlineLevel="1" x14ac:dyDescent="0.25">
      <c r="A9" t="s">
        <v>26</v>
      </c>
      <c r="B9" s="24">
        <f>BS!B14-BS!C14</f>
        <v>29600</v>
      </c>
      <c r="C9" s="24"/>
      <c r="D9" t="str">
        <f t="shared" ca="1" si="0"/>
        <v>=BS!B14-BS!C14</v>
      </c>
    </row>
    <row r="10" spans="1:8" outlineLevel="1" x14ac:dyDescent="0.25">
      <c r="A10" t="s">
        <v>28</v>
      </c>
      <c r="B10" s="24">
        <f>BS!B16-BS!C16</f>
        <v>4000</v>
      </c>
      <c r="C10" s="24"/>
      <c r="D10" t="str">
        <f t="shared" ca="1" si="0"/>
        <v>=BS!B16-BS!C16</v>
      </c>
      <c r="H10" s="38"/>
    </row>
    <row r="11" spans="1:8" ht="14.25" customHeight="1" x14ac:dyDescent="0.25">
      <c r="A11" s="65" t="s">
        <v>29</v>
      </c>
      <c r="B11" s="66"/>
      <c r="C11" s="66">
        <f>SUM(B5:B10)</f>
        <v>-73780</v>
      </c>
      <c r="E11" t="str">
        <f t="shared" ca="1" si="0"/>
        <v>=SUM(B5:B10)</v>
      </c>
    </row>
    <row r="12" spans="1:8" ht="14.25" customHeight="1" outlineLevel="1" x14ac:dyDescent="0.25">
      <c r="A12" s="14" t="s">
        <v>30</v>
      </c>
      <c r="B12" s="21"/>
      <c r="C12" s="21"/>
    </row>
    <row r="13" spans="1:8" ht="14.25" customHeight="1" outlineLevel="1" x14ac:dyDescent="0.25">
      <c r="A13" t="s">
        <v>31</v>
      </c>
      <c r="B13" s="24">
        <f>BS!C9-BS!B9</f>
        <v>-36000</v>
      </c>
      <c r="C13" s="24"/>
      <c r="D13" t="str">
        <f t="shared" ca="1" si="0"/>
        <v>=BS!C9-BS!B9</v>
      </c>
    </row>
    <row r="14" spans="1:8" ht="14.25" customHeight="1" x14ac:dyDescent="0.25">
      <c r="A14" s="65" t="s">
        <v>32</v>
      </c>
      <c r="B14" s="66"/>
      <c r="C14" s="66">
        <f>B13</f>
        <v>-36000</v>
      </c>
      <c r="E14" t="str">
        <f t="shared" ca="1" si="0"/>
        <v>=B13</v>
      </c>
    </row>
    <row r="15" spans="1:8" ht="14.25" customHeight="1" outlineLevel="1" x14ac:dyDescent="0.25">
      <c r="A15" s="14" t="s">
        <v>33</v>
      </c>
      <c r="B15" s="21"/>
      <c r="C15" s="21"/>
    </row>
    <row r="16" spans="1:8" ht="14.25" customHeight="1" outlineLevel="1" x14ac:dyDescent="0.25">
      <c r="A16" t="s">
        <v>27</v>
      </c>
      <c r="B16" s="24">
        <f>BS!B15-BS!C15</f>
        <v>25000</v>
      </c>
      <c r="C16" s="24"/>
      <c r="D16" t="str">
        <f t="shared" ca="1" si="0"/>
        <v>=BS!B15-BS!C15</v>
      </c>
    </row>
    <row r="17" spans="1:5" ht="14.25" customHeight="1" outlineLevel="1" x14ac:dyDescent="0.25">
      <c r="A17" t="s">
        <v>34</v>
      </c>
      <c r="B17" s="24">
        <f>BS!B18-BS!C18</f>
        <v>101180</v>
      </c>
      <c r="C17" s="24"/>
      <c r="D17" t="str">
        <f t="shared" ca="1" si="0"/>
        <v>=BS!B18-BS!C18</v>
      </c>
    </row>
    <row r="18" spans="1:5" ht="14.25" customHeight="1" outlineLevel="1" x14ac:dyDescent="0.25">
      <c r="A18" t="s">
        <v>73</v>
      </c>
      <c r="B18" s="24">
        <f>BS!B20-BS!C20</f>
        <v>0</v>
      </c>
      <c r="C18" s="24"/>
      <c r="D18" t="str">
        <f t="shared" ca="1" si="0"/>
        <v>=BS!B20-BS!C20</v>
      </c>
    </row>
    <row r="19" spans="1:5" ht="14.25" customHeight="1" outlineLevel="1" x14ac:dyDescent="0.25">
      <c r="A19" t="s">
        <v>35</v>
      </c>
      <c r="B19" s="24">
        <f>-(IS!B15-(BS!B21-BS!C21))</f>
        <v>-22000</v>
      </c>
      <c r="C19" s="24"/>
      <c r="D19" t="str">
        <f t="shared" ca="1" si="0"/>
        <v>=-(IS!B15-(BS!B21-BS!C21))</v>
      </c>
    </row>
    <row r="20" spans="1:5" ht="14.25" customHeight="1" x14ac:dyDescent="0.25">
      <c r="A20" s="65" t="s">
        <v>36</v>
      </c>
      <c r="B20" s="66"/>
      <c r="C20" s="66">
        <f>SUM(B16:B19)</f>
        <v>104180</v>
      </c>
      <c r="E20" t="str">
        <f t="shared" ca="1" si="0"/>
        <v>=SUM(B16:B19)</v>
      </c>
    </row>
    <row r="21" spans="1:5" ht="15.75" thickBot="1" x14ac:dyDescent="0.3">
      <c r="A21" s="67" t="s">
        <v>37</v>
      </c>
      <c r="B21" s="68"/>
      <c r="C21" s="69">
        <f>SUM(C11:C20)</f>
        <v>-5600</v>
      </c>
      <c r="E21" t="str">
        <f t="shared" ca="1" si="0"/>
        <v>=SUM(C11:C20)</v>
      </c>
    </row>
    <row r="22" spans="1:5" ht="15.75" thickTop="1" x14ac:dyDescent="0.25"/>
  </sheetData>
  <phoneticPr fontId="17" type="noConversion"/>
  <printOptions gridLines="1" gridLinesSet="0"/>
  <pageMargins left="0.25" right="0.2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J39"/>
  <sheetViews>
    <sheetView tabSelected="1" zoomScaleNormal="100" workbookViewId="0">
      <pane ySplit="3" topLeftCell="A28" activePane="bottomLeft" state="frozen"/>
      <selection pane="bottomLeft" activeCell="F33" sqref="F33"/>
    </sheetView>
  </sheetViews>
  <sheetFormatPr defaultRowHeight="15" x14ac:dyDescent="0.25"/>
  <cols>
    <col min="1" max="1" width="24.140625" customWidth="1"/>
    <col min="2" max="2" width="14" bestFit="1" customWidth="1"/>
    <col min="3" max="3" width="12.28515625" bestFit="1" customWidth="1"/>
    <col min="4" max="4" width="12" customWidth="1"/>
    <col min="5" max="5" width="9.140625" customWidth="1"/>
    <col min="7" max="7" width="13.5703125" customWidth="1"/>
    <col min="8" max="8" width="44.85546875" customWidth="1"/>
    <col min="9" max="9" width="15.140625" bestFit="1" customWidth="1"/>
    <col min="10" max="10" width="82.7109375" bestFit="1" customWidth="1"/>
  </cols>
  <sheetData>
    <row r="1" spans="1:10" x14ac:dyDescent="0.25">
      <c r="A1" s="36" t="str">
        <f>IS!A1</f>
        <v>Elvis Products International</v>
      </c>
      <c r="B1" s="36"/>
      <c r="C1" s="36"/>
      <c r="D1" s="36"/>
      <c r="E1" s="2"/>
    </row>
    <row r="2" spans="1:10" x14ac:dyDescent="0.25">
      <c r="A2" s="36" t="str">
        <f>"Ratio Analysis for "&amp;TEXT(C3,"####")&amp;" and "&amp;TEXT(B3,"####")</f>
        <v>Ratio Analysis for 2015 and 2016</v>
      </c>
      <c r="B2" s="36"/>
      <c r="C2" s="36"/>
      <c r="D2" s="36"/>
      <c r="E2" s="2"/>
    </row>
    <row r="3" spans="1:10" s="18" customFormat="1" ht="28.5" customHeight="1" thickBot="1" x14ac:dyDescent="0.3">
      <c r="A3" s="44" t="s">
        <v>38</v>
      </c>
      <c r="B3" s="45">
        <f>IS!B4</f>
        <v>2016</v>
      </c>
      <c r="C3" s="45">
        <f>B3-1</f>
        <v>2015</v>
      </c>
      <c r="D3" s="22" t="str">
        <f>"Industry "&amp;TEXT(B3,"#000")</f>
        <v>Industry 2016</v>
      </c>
      <c r="E3" s="26" t="s">
        <v>39</v>
      </c>
      <c r="G3" s="45">
        <f>B3</f>
        <v>2016</v>
      </c>
      <c r="H3" s="45">
        <f t="shared" ref="H3:J3" si="0">C3</f>
        <v>2015</v>
      </c>
      <c r="I3" s="45" t="str">
        <f t="shared" si="0"/>
        <v>Industry 2016</v>
      </c>
      <c r="J3" s="45" t="str">
        <f t="shared" si="0"/>
        <v>Analysis</v>
      </c>
    </row>
    <row r="4" spans="1:10" ht="15.75" thickBot="1" x14ac:dyDescent="0.3">
      <c r="A4" s="15" t="s">
        <v>40</v>
      </c>
      <c r="B4" s="15"/>
      <c r="C4" s="15"/>
      <c r="D4" s="47"/>
      <c r="E4" s="15"/>
    </row>
    <row r="5" spans="1:10" x14ac:dyDescent="0.25">
      <c r="A5" s="7" t="s">
        <v>74</v>
      </c>
      <c r="B5" s="70">
        <f>BS!B8/BS!B17</f>
        <v>2.3880044427989633</v>
      </c>
      <c r="C5" s="70">
        <f>BS!C8/BS!C17</f>
        <v>2.3338870431893688</v>
      </c>
      <c r="D5" s="49">
        <v>2.7</v>
      </c>
      <c r="E5" s="27" t="str">
        <f>IF(AND(B5/C5&gt;=1,B5/D5&gt;=1),"Good",IF(OR(B5/D5&gt;=1,B5/C5&gt;=1),"Ok", "Bad"))</f>
        <v>Ok</v>
      </c>
      <c r="H5" t="str">
        <f t="shared" ref="H5:J20" ca="1" si="1">_xlfn.FORMULATEXT(C5)</f>
        <v>=BS!C8/BS!C17</v>
      </c>
      <c r="J5" t="str">
        <f t="shared" ca="1" si="1"/>
        <v>=IF(AND(B5/C5&gt;=1,B5/D5&gt;=1),"Good",IF(OR(B5/D5&gt;=1,B5/C5&gt;=1),"Ok", "Bad"))</v>
      </c>
    </row>
    <row r="6" spans="1:10" ht="15.75" thickBot="1" x14ac:dyDescent="0.3">
      <c r="A6" s="9" t="s">
        <v>75</v>
      </c>
      <c r="B6" s="71">
        <f>(BS!B8-BS!B7)/BS!B17</f>
        <v>0.84042947056645689</v>
      </c>
      <c r="C6" s="71">
        <f>(BS!C8-BS!C7)/BS!C17</f>
        <v>0.84883720930232553</v>
      </c>
      <c r="D6" s="49">
        <v>1</v>
      </c>
      <c r="E6" s="27" t="str">
        <f>IF(AND(B6/C6&gt;=1,B6/D6&gt;=1),"Good",IF(OR(B6/D6&gt;=1,B6/C6&gt;=1),"Ok", "Bad"))</f>
        <v>Bad</v>
      </c>
      <c r="H6" t="str">
        <f t="shared" ca="1" si="1"/>
        <v>=(BS!C8-BS!C7)/BS!C17</v>
      </c>
      <c r="J6" t="str">
        <f t="shared" ca="1" si="1"/>
        <v>=IF(AND(B6/C6&gt;=1,B6/D6&gt;=1),"Good",IF(OR(B6/D6&gt;=1,B6/C6&gt;=1),"Ok", "Bad"))</v>
      </c>
    </row>
    <row r="7" spans="1:10" ht="15.75" thickBot="1" x14ac:dyDescent="0.3">
      <c r="A7" s="15" t="s">
        <v>41</v>
      </c>
      <c r="B7" s="15"/>
      <c r="C7" s="15"/>
      <c r="D7" s="47"/>
      <c r="E7" s="15"/>
    </row>
    <row r="8" spans="1:10" x14ac:dyDescent="0.25">
      <c r="A8" s="7" t="s">
        <v>42</v>
      </c>
      <c r="B8" s="70">
        <f>IS!B6/BS!B7</f>
        <v>3.8875598086124401</v>
      </c>
      <c r="C8" s="70">
        <f>IS!C6/BS!C7</f>
        <v>4.0044742729306488</v>
      </c>
      <c r="D8" s="49">
        <v>7</v>
      </c>
      <c r="E8" s="27" t="str">
        <f>IF(AND(B8/C8&gt;=1,B8/D8&gt;=1),"Good",IF(OR(B8/D8&gt;=1,B8/C8&gt;=1),"Ok", "Bad"))</f>
        <v>Bad</v>
      </c>
      <c r="H8" t="str">
        <f t="shared" ca="1" si="1"/>
        <v>=IS!C6/BS!C7</v>
      </c>
      <c r="J8" t="str">
        <f t="shared" ca="1" si="1"/>
        <v>=IF(AND(B8/C8&gt;=1,B8/D8&gt;=1),"Good",IF(OR(B8/D8&gt;=1,B8/C8&gt;=1),"Ok", "Bad"))</v>
      </c>
    </row>
    <row r="9" spans="1:10" x14ac:dyDescent="0.25">
      <c r="A9" s="7" t="s">
        <v>43</v>
      </c>
      <c r="B9" s="70">
        <f>IS!B5/BS!B6</f>
        <v>9.5771144278606961</v>
      </c>
      <c r="C9" s="70">
        <f>IS!C5/BS!C6</f>
        <v>9.7722095671981783</v>
      </c>
      <c r="D9" s="49">
        <v>10.7</v>
      </c>
      <c r="E9" s="27" t="str">
        <f>IF(AND(B9/C9&gt;=1,B9/D9&gt;=1),"Good",IF(OR(B9/D9&gt;=1,B9/C9&gt;=1),"Ok", "Bad"))</f>
        <v>Bad</v>
      </c>
      <c r="H9" t="str">
        <f t="shared" ca="1" si="1"/>
        <v>=IS!C5/BS!C6</v>
      </c>
      <c r="J9" t="str">
        <f t="shared" ca="1" si="1"/>
        <v>=IF(AND(B9/C9&gt;=1,B9/D9&gt;=1),"Good",IF(OR(B9/D9&gt;=1,B9/C9&gt;=1),"Ok", "Bad"))</v>
      </c>
    </row>
    <row r="10" spans="1:10" x14ac:dyDescent="0.25">
      <c r="A10" s="7" t="s">
        <v>44</v>
      </c>
      <c r="B10" s="72">
        <f>365/B9</f>
        <v>38.111688311688312</v>
      </c>
      <c r="C10" s="72">
        <f>365/C9</f>
        <v>37.350815850815849</v>
      </c>
      <c r="D10" s="53">
        <f>360/D9</f>
        <v>33.644859813084118</v>
      </c>
      <c r="E10" s="27" t="str">
        <f>IF(AND(B10/C10&lt;=1,B10/D10&lt;=1),"Good",IF(OR(B10/D10&lt;=1,B10/C10&lt;=1),"Ok", "Bad"))</f>
        <v>Bad</v>
      </c>
      <c r="H10" t="str">
        <f t="shared" ca="1" si="1"/>
        <v>=365/C9</v>
      </c>
      <c r="I10" t="str">
        <f t="shared" ca="1" si="1"/>
        <v>=360/D9</v>
      </c>
      <c r="J10" t="str">
        <f t="shared" ca="1" si="1"/>
        <v>=IF(AND(B10/C10&lt;=1,B10/D10&lt;=1),"Good",IF(OR(B10/D10&lt;=1,B10/C10&lt;=1),"Ok", "Bad"))</v>
      </c>
    </row>
    <row r="11" spans="1:10" x14ac:dyDescent="0.25">
      <c r="A11" s="7" t="s">
        <v>45</v>
      </c>
      <c r="B11" s="70">
        <f>IS!B5/BS!B11</f>
        <v>10.670731707317072</v>
      </c>
      <c r="C11" s="70">
        <f>IS!C5/BS!C11</f>
        <v>9.9535962877030162</v>
      </c>
      <c r="D11" s="49">
        <v>11.2</v>
      </c>
      <c r="E11" s="27" t="str">
        <f>IF(AND(B11/C11&gt;=1,B11/D11&gt;=1),"Good",IF(OR(B11/D11&gt;=1,B11/C11&gt;=1),"Ok", "Bad"))</f>
        <v>Ok</v>
      </c>
      <c r="H11" t="str">
        <f t="shared" ca="1" si="1"/>
        <v>=IS!C5/BS!C11</v>
      </c>
      <c r="J11" t="str">
        <f t="shared" ca="1" si="1"/>
        <v>=IF(AND(B11/C11&gt;=1,B11/D11&gt;=1),"Good",IF(OR(B11/D11&gt;=1,B11/C11&gt;=1),"Ok", "Bad"))</v>
      </c>
    </row>
    <row r="12" spans="1:10" ht="15.75" thickBot="1" x14ac:dyDescent="0.3">
      <c r="A12" s="7" t="s">
        <v>46</v>
      </c>
      <c r="B12" s="70">
        <f>IS!B5/BS!B12</f>
        <v>2.3322025684516596</v>
      </c>
      <c r="C12" s="70">
        <f>IS!C5/BS!C12</f>
        <v>2.3366013071895426</v>
      </c>
      <c r="D12" s="49">
        <v>2.6</v>
      </c>
      <c r="E12" s="27" t="str">
        <f>IF(AND(B12/C12&gt;=1,B12/D12&gt;=1),"Good",IF(OR(B12/D12&gt;=1,B12/C12&gt;=1),"Ok", "Bad"))</f>
        <v>Bad</v>
      </c>
      <c r="H12" t="str">
        <f t="shared" ca="1" si="1"/>
        <v>=IS!C5/BS!C12</v>
      </c>
      <c r="J12" t="str">
        <f t="shared" ca="1" si="1"/>
        <v>=IF(AND(B12/C12&gt;=1,B12/D12&gt;=1),"Good",IF(OR(B12/D12&gt;=1,B12/C12&gt;=1),"Ok", "Bad"))</v>
      </c>
    </row>
    <row r="13" spans="1:10" ht="15.75" thickBot="1" x14ac:dyDescent="0.3">
      <c r="A13" s="15" t="s">
        <v>47</v>
      </c>
      <c r="B13" s="15"/>
      <c r="C13" s="15"/>
      <c r="D13" s="47"/>
      <c r="E13" s="15"/>
    </row>
    <row r="14" spans="1:10" x14ac:dyDescent="0.25">
      <c r="A14" s="7" t="s">
        <v>48</v>
      </c>
      <c r="B14" s="73">
        <f>BS!B19/BS!B12</f>
        <v>0.58445117518778777</v>
      </c>
      <c r="C14" s="73">
        <f>BS!C19/BS!C12</f>
        <v>0.54808823529411765</v>
      </c>
      <c r="D14" s="54">
        <v>0.5</v>
      </c>
      <c r="E14" s="27" t="str">
        <f>IF(AND(B14/C14&lt;=1,B14/D14&lt;=1),"Good",IF(OR(B14/D14&lt;=1,B14/C14&lt;=1),"Ok", "Bad"))</f>
        <v>Bad</v>
      </c>
      <c r="H14" t="str">
        <f t="shared" ca="1" si="1"/>
        <v>=BS!C19/BS!C12</v>
      </c>
      <c r="J14" t="str">
        <f t="shared" ca="1" si="1"/>
        <v>=IF(AND(B14/C14&lt;=1,B14/D14&lt;=1),"Good",IF(OR(B14/D14&lt;=1,B14/C14&lt;=1),"Ok", "Bad"))</v>
      </c>
    </row>
    <row r="15" spans="1:10" x14ac:dyDescent="0.25">
      <c r="A15" s="7" t="s">
        <v>49</v>
      </c>
      <c r="B15" s="73">
        <f>BS!B18/BS!B12</f>
        <v>0.25721589532347955</v>
      </c>
      <c r="C15" s="73">
        <f>BS!C18/BS!C12</f>
        <v>0.22020152505446622</v>
      </c>
      <c r="D15" s="55">
        <v>0.2</v>
      </c>
      <c r="E15" s="27" t="str">
        <f>IF(AND(B15/C15&lt;=1,B15/D15&lt;=1),"Good",IF(OR(B15/D15&lt;=1,B15/C15&lt;=1),"Ok", "Bad"))</f>
        <v>Bad</v>
      </c>
      <c r="H15" t="str">
        <f t="shared" ca="1" si="1"/>
        <v>=BS!C18/BS!C12</v>
      </c>
      <c r="J15" t="str">
        <f t="shared" ca="1" si="1"/>
        <v>=IF(AND(B15/C15&lt;=1,B15/D15&lt;=1),"Good",IF(OR(B15/D15&lt;=1,B15/C15&lt;=1),"Ok", "Bad"))</v>
      </c>
    </row>
    <row r="16" spans="1:10" x14ac:dyDescent="0.25">
      <c r="A16" s="7" t="s">
        <v>50</v>
      </c>
      <c r="B16" s="73">
        <f>BS!B18/BS!B23</f>
        <v>0.25721589532347955</v>
      </c>
      <c r="C16" s="73">
        <f>BS!C18/BS!C23</f>
        <v>0.22020152505446622</v>
      </c>
      <c r="D16" s="55">
        <f>1/(1+1/D18)</f>
        <v>0.2857142857142857</v>
      </c>
      <c r="E16" s="27" t="str">
        <f>IF(AND(B16/C16&lt;=1,B16/D16&lt;=1),"Good",IF(OR(B16/D16&lt;=1,B16/C16&lt;=1),"Ok", "Bad"))</f>
        <v>Ok</v>
      </c>
      <c r="H16" t="str">
        <f t="shared" ca="1" si="1"/>
        <v>=BS!C18/BS!C23</v>
      </c>
      <c r="I16" t="str">
        <f t="shared" ca="1" si="1"/>
        <v>=1/(1+1/D18)</v>
      </c>
      <c r="J16" t="str">
        <f t="shared" ca="1" si="1"/>
        <v>=IF(AND(B16/C16&lt;=1,B16/D16&lt;=1),"Good",IF(OR(B16/D16&lt;=1,B16/C16&lt;=1),"Ok", "Bad"))</v>
      </c>
    </row>
    <row r="17" spans="1:10" x14ac:dyDescent="0.25">
      <c r="A17" s="7" t="s">
        <v>51</v>
      </c>
      <c r="B17" s="74">
        <f>BS!B19/BS!B22</f>
        <v>1.4064560896108971</v>
      </c>
      <c r="C17" s="74">
        <f>BS!C19/BS!C22</f>
        <v>1.2128213472177025</v>
      </c>
      <c r="D17" s="56">
        <f>D14/(1-D14)</f>
        <v>1</v>
      </c>
      <c r="E17" s="27" t="str">
        <f>IF(AND(B17/C17&lt;=1,B17/D17&lt;=1),"Good",IF(OR(B17/D17&lt;=1,B17/C17&lt;=1),"Ok", "Bad"))</f>
        <v>Bad</v>
      </c>
      <c r="H17" t="str">
        <f ca="1">_xlfn.FORMULATEXT(C17)</f>
        <v>=BS!C19/BS!C22</v>
      </c>
      <c r="I17" t="str">
        <f t="shared" ca="1" si="1"/>
        <v>=D14/(1-D14)</v>
      </c>
      <c r="J17" t="str">
        <f t="shared" ca="1" si="1"/>
        <v>=IF(AND(B17/C17&lt;=1,B17/D17&lt;=1),"Good",IF(OR(B17/D17&lt;=1,B17/C17&lt;=1),"Ok", "Bad"))</v>
      </c>
    </row>
    <row r="18" spans="1:10" ht="15.75" thickBot="1" x14ac:dyDescent="0.3">
      <c r="A18" s="7" t="s">
        <v>52</v>
      </c>
      <c r="B18" s="75">
        <f>BS!B18/BS!B22</f>
        <v>0.61897875764590637</v>
      </c>
      <c r="C18" s="75">
        <f>BS!C18/BS!C22</f>
        <v>0.48726663533041664</v>
      </c>
      <c r="D18" s="55">
        <f>D15/(1-D14)</f>
        <v>0.4</v>
      </c>
      <c r="E18" s="27" t="str">
        <f>IF(AND(B18/C18&lt;=1,B18/D18&lt;=1),"Good",IF(OR(B18/D18&lt;=1,B18/C18&lt;=1),"Ok", "Bad"))</f>
        <v>Bad</v>
      </c>
      <c r="H18" t="str">
        <f t="shared" ca="1" si="1"/>
        <v>=BS!C18/BS!C22</v>
      </c>
      <c r="I18" t="str">
        <f t="shared" ca="1" si="1"/>
        <v>=D15/(1-D14)</v>
      </c>
      <c r="J18" t="str">
        <f t="shared" ca="1" si="1"/>
        <v>=IF(AND(B18/C18&lt;=1,B18/D18&lt;=1),"Good",IF(OR(B18/D18&lt;=1,B18/C18&lt;=1),"Ok", "Bad"))</v>
      </c>
    </row>
    <row r="19" spans="1:10" ht="15.75" thickBot="1" x14ac:dyDescent="0.3">
      <c r="A19" s="15" t="s">
        <v>53</v>
      </c>
      <c r="B19" s="15"/>
      <c r="C19" s="15"/>
      <c r="D19" s="47"/>
      <c r="E19" s="15"/>
    </row>
    <row r="20" spans="1:10" x14ac:dyDescent="0.25">
      <c r="A20" s="7" t="s">
        <v>54</v>
      </c>
      <c r="B20" s="70">
        <f>IS!B11/IS!B12</f>
        <v>1.9697368421052632</v>
      </c>
      <c r="C20" s="70">
        <f>IS!C11/IS!C12</f>
        <v>3.3456000000000001</v>
      </c>
      <c r="D20" s="49">
        <v>2.5</v>
      </c>
      <c r="E20" s="27" t="str">
        <f>IF(AND(B20/C20&gt;=1,B20/D20&gt;=1),"Good",IF(OR(B20/D20&gt;=1,B20/C20&gt;=1),"Ok", "Bad"))</f>
        <v>Bad</v>
      </c>
      <c r="H20" t="str">
        <f ca="1">_xlfn.FORMULATEXT(C20)</f>
        <v>=IS!C11/IS!C12</v>
      </c>
      <c r="J20" t="str">
        <f t="shared" ca="1" si="1"/>
        <v>=IF(AND(B20/C20&gt;=1,B20/D20&gt;=1),"Good",IF(OR(B20/D20&gt;=1,B20/C20&gt;=1),"Ok", "Bad"))</v>
      </c>
    </row>
    <row r="21" spans="1:10" ht="15.75" thickBot="1" x14ac:dyDescent="0.3">
      <c r="A21" s="7" t="s">
        <v>55</v>
      </c>
      <c r="B21" s="70">
        <f>(IS!B11+IS!B10)/IS!B12</f>
        <v>2.232894736842105</v>
      </c>
      <c r="C21" s="70">
        <f>(IS!C11+IS!C10)/IS!C12</f>
        <v>3.6480000000000001</v>
      </c>
      <c r="D21" s="49">
        <v>2.8</v>
      </c>
      <c r="E21" s="27" t="str">
        <f>IF(AND(B21/C21&gt;=1,B21/D21&gt;=1),"Good",IF(OR(B21/D21&gt;=1,B21/C21&gt;=1),"Ok", "Bad"))</f>
        <v>Bad</v>
      </c>
      <c r="H21" t="str">
        <f ca="1">_xlfn.FORMULATEXT(C21)</f>
        <v>=(IS!C11+IS!C10)/IS!C12</v>
      </c>
      <c r="J21" t="str">
        <f t="shared" ref="J21:J28" ca="1" si="2">_xlfn.FORMULATEXT(E21)</f>
        <v>=IF(AND(B21/C21&gt;=1,B21/D21&gt;=1),"Good",IF(OR(B21/D21&gt;=1,B21/C21&gt;=1),"Ok", "Bad"))</v>
      </c>
    </row>
    <row r="22" spans="1:10" ht="15.75" thickBot="1" x14ac:dyDescent="0.3">
      <c r="A22" s="15" t="s">
        <v>56</v>
      </c>
      <c r="B22" s="15"/>
      <c r="C22" s="15"/>
      <c r="D22" s="47"/>
      <c r="E22" s="15"/>
    </row>
    <row r="23" spans="1:10" x14ac:dyDescent="0.25">
      <c r="A23" s="7" t="s">
        <v>57</v>
      </c>
      <c r="B23" s="75">
        <f>IS!B7/IS!B5</f>
        <v>0.15584415584415584</v>
      </c>
      <c r="C23" s="75">
        <f>IS!C7/IS!C5</f>
        <v>0.1655011655011655</v>
      </c>
      <c r="D23" s="55">
        <v>0.17499999999999999</v>
      </c>
      <c r="E23" s="27" t="str">
        <f t="shared" ref="E23:E28" si="3">IF(AND(B23/C23&gt;=1,B23/D23&gt;=1),"Good",IF(OR(B23/D23&gt;=1,B23/C23&gt;=1),"Ok", "Bad"))</f>
        <v>Bad</v>
      </c>
      <c r="H23" t="str">
        <f t="shared" ref="H23:H28" ca="1" si="4">_xlfn.FORMULATEXT(C23)</f>
        <v>=IS!C7/IS!C5</v>
      </c>
      <c r="J23" t="str">
        <f t="shared" ca="1" si="2"/>
        <v>=IF(AND(B23/C23&gt;=1,B23/D23&gt;=1),"Good",IF(OR(B23/D23&gt;=1,B23/C23&gt;=1),"Ok", "Bad"))</v>
      </c>
    </row>
    <row r="24" spans="1:10" x14ac:dyDescent="0.25">
      <c r="A24" s="7" t="s">
        <v>58</v>
      </c>
      <c r="B24" s="75">
        <f>IS!B11/IS!B5</f>
        <v>3.8883116883116881E-2</v>
      </c>
      <c r="C24" s="75">
        <f>IS!C11/IS!C5</f>
        <v>6.0926573426573427E-2</v>
      </c>
      <c r="D24" s="55">
        <v>6.25E-2</v>
      </c>
      <c r="E24" s="27" t="str">
        <f t="shared" si="3"/>
        <v>Bad</v>
      </c>
      <c r="H24" t="str">
        <f t="shared" ca="1" si="4"/>
        <v>=IS!C11/IS!C5</v>
      </c>
      <c r="J24" t="str">
        <f t="shared" ca="1" si="2"/>
        <v>=IF(AND(B24/C24&gt;=1,B24/D24&gt;=1),"Good",IF(OR(B24/D24&gt;=1,B24/C24&gt;=1),"Ok", "Bad"))</v>
      </c>
    </row>
    <row r="25" spans="1:10" x14ac:dyDescent="0.25">
      <c r="A25" s="7" t="s">
        <v>59</v>
      </c>
      <c r="B25" s="73">
        <f>IS!B15/IS!B5</f>
        <v>1.1485714285714285E-2</v>
      </c>
      <c r="C25" s="73">
        <f>IS!C15/IS!C5</f>
        <v>2.5629370629370631E-2</v>
      </c>
      <c r="D25" s="54">
        <v>3.5000000000000003E-2</v>
      </c>
      <c r="E25" s="27" t="str">
        <f t="shared" si="3"/>
        <v>Bad</v>
      </c>
      <c r="H25" t="str">
        <f t="shared" ca="1" si="4"/>
        <v>=IS!C15/IS!C5</v>
      </c>
      <c r="J25" t="str">
        <f t="shared" ca="1" si="2"/>
        <v>=IF(AND(B25/C25&gt;=1,B25/D25&gt;=1),"Good",IF(OR(B25/D25&gt;=1,B25/C25&gt;=1),"Ok", "Bad"))</v>
      </c>
    </row>
    <row r="26" spans="1:10" x14ac:dyDescent="0.25">
      <c r="A26" s="7" t="s">
        <v>60</v>
      </c>
      <c r="B26" s="73">
        <f>IS!B15/BS!B12</f>
        <v>2.6787012357644777E-2</v>
      </c>
      <c r="C26" s="73">
        <f>IS!C15/BS!C12</f>
        <v>5.9885620915032682E-2</v>
      </c>
      <c r="D26" s="54">
        <v>9.0999999999999998E-2</v>
      </c>
      <c r="E26" s="27" t="str">
        <f t="shared" si="3"/>
        <v>Bad</v>
      </c>
      <c r="H26" t="str">
        <f t="shared" ca="1" si="4"/>
        <v>=IS!C15/BS!C12</v>
      </c>
      <c r="J26" t="str">
        <f t="shared" ca="1" si="2"/>
        <v>=IF(AND(B26/C26&gt;=1,B26/D26&gt;=1),"Good",IF(OR(B26/D26&gt;=1,B26/C26&gt;=1),"Ok", "Bad"))</v>
      </c>
    </row>
    <row r="27" spans="1:10" x14ac:dyDescent="0.25">
      <c r="A27" s="7" t="s">
        <v>61</v>
      </c>
      <c r="B27" s="73">
        <f>IS!B15/BS!B22</f>
        <v>6.4461769010536629E-2</v>
      </c>
      <c r="C27" s="73">
        <f>IS!C15/BS!C22</f>
        <v>0.13251618035217125</v>
      </c>
      <c r="D27" s="55">
        <f>D26*1/(1-D14)</f>
        <v>0.182</v>
      </c>
      <c r="E27" s="27" t="str">
        <f t="shared" si="3"/>
        <v>Bad</v>
      </c>
      <c r="F27" s="11"/>
      <c r="H27" t="str">
        <f t="shared" ca="1" si="4"/>
        <v>=IS!C15/BS!C22</v>
      </c>
      <c r="I27" t="str">
        <f t="shared" ref="I27" ca="1" si="5">_xlfn.FORMULATEXT(D27)</f>
        <v>=D26*1/(1-D14)</v>
      </c>
      <c r="J27" t="str">
        <f t="shared" ca="1" si="2"/>
        <v>=IF(AND(B27/C27&gt;=1,B27/D27&gt;=1),"Good",IF(OR(B27/D27&gt;=1,B27/C27&gt;=1),"Ok", "Bad"))</v>
      </c>
    </row>
    <row r="28" spans="1:10" ht="15.75" thickBot="1" x14ac:dyDescent="0.3">
      <c r="A28" s="17" t="s">
        <v>62</v>
      </c>
      <c r="B28" s="76">
        <f>IS!B15/BS!B20</f>
        <v>9.6130434782608701E-2</v>
      </c>
      <c r="C28" s="76">
        <f>IS!C15/BS!C20</f>
        <v>0.19121739130434784</v>
      </c>
      <c r="D28" s="57">
        <v>0.182</v>
      </c>
      <c r="E28" s="28" t="str">
        <f t="shared" si="3"/>
        <v>Bad</v>
      </c>
      <c r="H28" t="str">
        <f t="shared" ca="1" si="4"/>
        <v>=IS!C15/BS!C20</v>
      </c>
      <c r="J28" t="str">
        <f t="shared" ca="1" si="2"/>
        <v>=IF(AND(B28/C28&gt;=1,B28/D28&gt;=1),"Good",IF(OR(B28/D28&gt;=1,B28/C28&gt;=1),"Ok", "Bad"))</v>
      </c>
    </row>
    <row r="29" spans="1:10" x14ac:dyDescent="0.25">
      <c r="D29" s="9"/>
    </row>
    <row r="30" spans="1:10" x14ac:dyDescent="0.25">
      <c r="A30" s="46" t="s">
        <v>76</v>
      </c>
      <c r="B30" s="77">
        <f>(IS!B15/IS!B5)*(IS!B5/BS!B12)*(BS!B12/BS!B22)</f>
        <v>6.4461769010536615E-2</v>
      </c>
      <c r="C30" s="77">
        <f>(IS!C15/IS!C5)*(IS!C5/BS!C12)*(BS!C12/BS!C22)</f>
        <v>0.13251618035217125</v>
      </c>
      <c r="D30" s="81">
        <f>D27</f>
        <v>0.182</v>
      </c>
      <c r="H30" t="str">
        <f t="shared" ref="H30:H39" ca="1" si="6">_xlfn.FORMULATEXT(C30)</f>
        <v>=(IS!C15/IS!C5)*(IS!C5/BS!C12)*(BS!C12/BS!C22)</v>
      </c>
      <c r="I30" t="str">
        <f t="shared" ref="I30" ca="1" si="7">_xlfn.FORMULATEXT(D30)</f>
        <v>=D27</v>
      </c>
    </row>
    <row r="31" spans="1:10" x14ac:dyDescent="0.25">
      <c r="A31" t="s">
        <v>66</v>
      </c>
      <c r="B31" s="78"/>
      <c r="C31" s="78"/>
      <c r="D31" s="52"/>
      <c r="H31" t="e">
        <f t="shared" ca="1" si="6"/>
        <v>#N/A</v>
      </c>
    </row>
    <row r="32" spans="1:10" x14ac:dyDescent="0.25">
      <c r="A32" t="s">
        <v>71</v>
      </c>
      <c r="B32" s="50">
        <f>1.2*(BS!B8-BS!B17)/BS!B12+1.4*(BS!B21/BS!B12)+3.3*(IS!B11/BS!B12)+0.6*(B31/BS!B19)+(IS!B5/BS!B12)</f>
        <v>3.3681567724739518</v>
      </c>
      <c r="C32" s="50">
        <f>1.2*(BS!C8-BS!C17)/BS!C12+1.4*(BS!C21/BS!C12)+3.3*(IS!C11/BS!C12)+0.6*(C31/BS!C19)+(IS!C5/BS!C12)</f>
        <v>3.5254528867102399</v>
      </c>
      <c r="D32" s="52"/>
      <c r="H32" t="str">
        <f t="shared" ca="1" si="6"/>
        <v>=1.2*(BS!C8-BS!C17)/BS!C12+1.4*(BS!C21/BS!C12)+3.3*(IS!C11/BS!C12)+0.6*(C31/BS!C19)+(IS!C5/BS!C12)</v>
      </c>
    </row>
    <row r="33" spans="1:8" x14ac:dyDescent="0.25">
      <c r="A33" t="s">
        <v>72</v>
      </c>
      <c r="B33" s="51">
        <f>0.717*(BS!B8-BS!B17)/BS!B12+0.847*(BS!B21/BS!B12)+3.107*(IS!B11/BS!B12)+0.42*(BS!B22/BS!B19)+0.998*(IS!B5/BS!B12)</f>
        <v>3.3495293335216352</v>
      </c>
      <c r="C33" s="51">
        <f>0.717*(BS!C8-BS!C17)/BS!C12+0.847*(BS!C21/BS!C12)+3.107*(IS!C11/BS!C12)+0.42*(BS!C22/BS!C19)+0.998*(IS!C5/BS!C12)</f>
        <v>3.5516390227330388</v>
      </c>
      <c r="D33" s="52"/>
      <c r="H33" t="str">
        <f t="shared" ca="1" si="6"/>
        <v>=0.717*(BS!C8-BS!C17)/BS!C12+0.847*(BS!C21/BS!C12)+3.107*(IS!C11/BS!C12)+0.42*(BS!C22/BS!C19)+0.998*(IS!C5/BS!C12)</v>
      </c>
    </row>
    <row r="36" spans="1:8" x14ac:dyDescent="0.25">
      <c r="A36" s="65" t="s">
        <v>69</v>
      </c>
    </row>
    <row r="37" spans="1:8" x14ac:dyDescent="0.25">
      <c r="A37" t="s">
        <v>67</v>
      </c>
      <c r="B37" s="78">
        <v>460000</v>
      </c>
      <c r="C37" s="78">
        <v>460000</v>
      </c>
    </row>
    <row r="38" spans="1:8" x14ac:dyDescent="0.25">
      <c r="A38" t="s">
        <v>68</v>
      </c>
      <c r="B38" s="79">
        <f>B39/(IS!B15/BS!B20)</f>
        <v>35.03736126951646</v>
      </c>
      <c r="C38" s="79">
        <f>C39/(IS!C15/BS!C20)</f>
        <v>18.436884127861646</v>
      </c>
    </row>
    <row r="39" spans="1:8" x14ac:dyDescent="0.25">
      <c r="A39" t="s">
        <v>70</v>
      </c>
      <c r="B39" s="80">
        <f>B32</f>
        <v>3.3681567724739518</v>
      </c>
      <c r="C39" s="80">
        <f>C32</f>
        <v>3.5254528867102399</v>
      </c>
      <c r="G39" t="str">
        <f t="shared" ref="G39" ca="1" si="8">_xlfn.FORMULATEXT(B39)</f>
        <v>=B32</v>
      </c>
      <c r="H39" t="str">
        <f t="shared" ca="1" si="6"/>
        <v>=C32</v>
      </c>
    </row>
  </sheetData>
  <phoneticPr fontId="17" type="noConversion"/>
  <printOptions gridLines="1" gridLinesSet="0"/>
  <pageMargins left="0.25" right="0.2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IS</vt:lpstr>
      <vt:lpstr>BS</vt:lpstr>
      <vt:lpstr>CFS</vt:lpstr>
      <vt:lpstr>Ratios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Alvarez</dc:creator>
  <cp:lastModifiedBy>Erick Mozart</cp:lastModifiedBy>
  <cp:lastPrinted>2011-04-27T04:31:01Z</cp:lastPrinted>
  <dcterms:created xsi:type="dcterms:W3CDTF">1995-10-30T22:25:51Z</dcterms:created>
  <dcterms:modified xsi:type="dcterms:W3CDTF">2021-03-24T15:17:59Z</dcterms:modified>
</cp:coreProperties>
</file>